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2090"/>
  </bookViews>
  <sheets>
    <sheet name="Enter Details" sheetId="1" r:id="rId1"/>
    <sheet name="Door Details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V19" i="2" l="1"/>
  <c r="W19" i="2"/>
  <c r="V20" i="2"/>
  <c r="W20" i="2"/>
  <c r="V21" i="2"/>
  <c r="W21" i="2"/>
  <c r="V22" i="2"/>
  <c r="W22" i="2"/>
  <c r="V25" i="2"/>
  <c r="W25" i="2"/>
  <c r="V26" i="2"/>
  <c r="W26" i="2"/>
  <c r="X26" i="2" s="1"/>
  <c r="V27" i="2"/>
  <c r="W27" i="2"/>
  <c r="V29" i="2"/>
  <c r="W29" i="2"/>
  <c r="X29" i="2" s="1"/>
  <c r="V30" i="2"/>
  <c r="W30" i="2"/>
  <c r="X30" i="2" s="1"/>
  <c r="W18" i="2"/>
  <c r="V18" i="2"/>
  <c r="U29" i="2"/>
  <c r="U30" i="2"/>
  <c r="S31" i="2"/>
  <c r="Q31" i="2"/>
  <c r="V31" i="2" s="1"/>
  <c r="R26" i="2"/>
  <c r="T26" i="2" s="1"/>
  <c r="U26" i="2" s="1"/>
  <c r="R25" i="2"/>
  <c r="T25" i="2" s="1"/>
  <c r="U25" i="2" s="1"/>
  <c r="S32" i="2"/>
  <c r="U32" i="2" s="1"/>
  <c r="Q32" i="2"/>
  <c r="V32" i="2" s="1"/>
  <c r="S28" i="2"/>
  <c r="U28" i="2" s="1"/>
  <c r="Q28" i="2"/>
  <c r="W28" i="2" s="1"/>
  <c r="X28" i="2" s="1"/>
  <c r="S27" i="2"/>
  <c r="U27" i="2" s="1"/>
  <c r="X25" i="2" l="1"/>
  <c r="X27" i="2"/>
  <c r="V28" i="2"/>
  <c r="W31" i="2"/>
  <c r="W32" i="2"/>
  <c r="X32" i="2" s="1"/>
  <c r="Q24" i="2"/>
  <c r="Q23" i="2"/>
  <c r="K27" i="2"/>
  <c r="E2" i="3"/>
  <c r="B36" i="1" s="1"/>
  <c r="K16" i="2" s="1"/>
  <c r="B37" i="1"/>
  <c r="B26" i="2" s="1"/>
  <c r="H26" i="2" s="1"/>
  <c r="R20" i="2" s="1"/>
  <c r="T20" i="2" s="1"/>
  <c r="U20" i="2" s="1"/>
  <c r="X20" i="2" s="1"/>
  <c r="D7" i="3" l="1"/>
  <c r="N21" i="2" s="1"/>
  <c r="B7" i="3"/>
  <c r="C7" i="3"/>
  <c r="V23" i="2"/>
  <c r="W23" i="2"/>
  <c r="V24" i="2"/>
  <c r="W24" i="2"/>
  <c r="H7" i="3"/>
  <c r="S24" i="2"/>
  <c r="J2" i="3"/>
  <c r="R22" i="2"/>
  <c r="T22" i="2" s="1"/>
  <c r="U22" i="2" s="1"/>
  <c r="X22" i="2" s="1"/>
  <c r="R23" i="2"/>
  <c r="T23" i="2" s="1"/>
  <c r="U23" i="2" s="1"/>
  <c r="R21" i="2"/>
  <c r="T21" i="2" s="1"/>
  <c r="U21" i="2" s="1"/>
  <c r="X21" i="2" s="1"/>
  <c r="E17" i="2"/>
  <c r="X23" i="2" l="1"/>
  <c r="R18" i="2"/>
  <c r="E25" i="2"/>
  <c r="R31" i="2" s="1"/>
  <c r="T31" i="2" s="1"/>
  <c r="U31" i="2" s="1"/>
  <c r="X31" i="2" s="1"/>
  <c r="E36" i="2"/>
  <c r="T18" i="2" l="1"/>
  <c r="U18" i="2" s="1"/>
  <c r="X18" i="2" s="1"/>
  <c r="R19" i="2"/>
  <c r="T19" i="2" s="1"/>
  <c r="U19" i="2" s="1"/>
  <c r="X19" i="2" s="1"/>
  <c r="R24" i="2"/>
  <c r="T24" i="2" s="1"/>
  <c r="U24" i="2" s="1"/>
  <c r="X24" i="2" s="1"/>
  <c r="X33" i="2" l="1"/>
</calcChain>
</file>

<file path=xl/sharedStrings.xml><?xml version="1.0" encoding="utf-8"?>
<sst xmlns="http://schemas.openxmlformats.org/spreadsheetml/2006/main" count="98" uniqueCount="62">
  <si>
    <t>Enter Cabinet details (In to in measurements in mm)</t>
  </si>
  <si>
    <t>Height:</t>
  </si>
  <si>
    <t>Width:</t>
  </si>
  <si>
    <t>Type:</t>
  </si>
  <si>
    <t>In-Out System Configurator: (Plinto profile)</t>
  </si>
  <si>
    <t>014.020.03249</t>
  </si>
  <si>
    <t>014.020.03251</t>
  </si>
  <si>
    <t>014.020.03245</t>
  </si>
  <si>
    <t>Shutter Size:</t>
  </si>
  <si>
    <t>Glass Size</t>
  </si>
  <si>
    <t>Pcs:</t>
  </si>
  <si>
    <t>Sr. no</t>
  </si>
  <si>
    <t>Description</t>
  </si>
  <si>
    <t>Cut Size</t>
  </si>
  <si>
    <t>Quantity</t>
  </si>
  <si>
    <t>Total Length</t>
  </si>
  <si>
    <t>Qty in pcs</t>
  </si>
  <si>
    <t>Article Code</t>
  </si>
  <si>
    <t>Glass:</t>
  </si>
  <si>
    <t>4mm</t>
  </si>
  <si>
    <t>6mm</t>
  </si>
  <si>
    <t>In out sealing brush, back grey</t>
  </si>
  <si>
    <t>In out sealing brush, short</t>
  </si>
  <si>
    <t>014.003.03257</t>
  </si>
  <si>
    <t>014.003.03256</t>
  </si>
  <si>
    <t>MU GB 008 - 4 mm glass,In out</t>
  </si>
  <si>
    <t>MU GB 007 - 6 mm glass,In out</t>
  </si>
  <si>
    <t>014.003.03255</t>
  </si>
  <si>
    <t>014.003.03254</t>
  </si>
  <si>
    <t>List of profiles: (For 2 doors)</t>
  </si>
  <si>
    <t>In out Upper horizontal profile, 3m</t>
  </si>
  <si>
    <t>MRP</t>
  </si>
  <si>
    <t>Soft Close:</t>
  </si>
  <si>
    <t>One Side</t>
  </si>
  <si>
    <t>Two Side</t>
  </si>
  <si>
    <t>In Out Self Tapping Screws 6.5*50</t>
  </si>
  <si>
    <t>-</t>
  </si>
  <si>
    <t>034.001.03259</t>
  </si>
  <si>
    <t>Soft Close Weight Capacity:</t>
  </si>
  <si>
    <t>50kg</t>
  </si>
  <si>
    <t>100kg</t>
  </si>
  <si>
    <t>In Out Bottom Roller Set</t>
  </si>
  <si>
    <t>In Out Top Roller Set</t>
  </si>
  <si>
    <t>In out Bottom profile, 3m</t>
  </si>
  <si>
    <t>In Out Top Double Track,3m</t>
  </si>
  <si>
    <t>In Out Bottom Double Track,3m</t>
  </si>
  <si>
    <t>In Out Soft Close System 100kg</t>
  </si>
  <si>
    <t>In Out Soft Close System 50kg</t>
  </si>
  <si>
    <t>Horizontal Divider Profile,3m</t>
  </si>
  <si>
    <t>In Out Door Stopper</t>
  </si>
  <si>
    <t>014.020.03250</t>
  </si>
  <si>
    <t>014.020.03246</t>
  </si>
  <si>
    <t>014.053.03247</t>
  </si>
  <si>
    <t>034.038.03260</t>
  </si>
  <si>
    <t>034.044.03261</t>
  </si>
  <si>
    <t>014.020.03252</t>
  </si>
  <si>
    <t>034.091.03253</t>
  </si>
  <si>
    <t>014.003.03258</t>
  </si>
  <si>
    <t>Total</t>
  </si>
  <si>
    <t>Rate</t>
  </si>
  <si>
    <t>In out Plinto vertical profile, 3m</t>
  </si>
  <si>
    <t>014.004.03248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</si>
</sst>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495300</xdr:colOff>
      <xdr:row>11</xdr:row>
      <xdr:rowOff>117470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96150" cy="221297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22</xdr:row>
      <xdr:rowOff>47625</xdr:rowOff>
    </xdr:from>
    <xdr:to>
      <xdr:col>0</xdr:col>
      <xdr:colOff>742950</xdr:colOff>
      <xdr:row>29</xdr:row>
      <xdr:rowOff>152400</xdr:rowOff>
    </xdr:to>
    <xdr:sp macro="" textlink="">
      <xdr:nvSpPr>
        <xdr:cNvPr id="3" name="Rettangolo 58"/>
        <xdr:cNvSpPr/>
      </xdr:nvSpPr>
      <xdr:spPr>
        <a:xfrm>
          <a:off x="123825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22</xdr:row>
      <xdr:rowOff>57150</xdr:rowOff>
    </xdr:from>
    <xdr:to>
      <xdr:col>3</xdr:col>
      <xdr:colOff>9525</xdr:colOff>
      <xdr:row>29</xdr:row>
      <xdr:rowOff>161925</xdr:rowOff>
    </xdr:to>
    <xdr:sp macro="" textlink="">
      <xdr:nvSpPr>
        <xdr:cNvPr id="4" name="Rettangolo 59"/>
        <xdr:cNvSpPr/>
      </xdr:nvSpPr>
      <xdr:spPr>
        <a:xfrm>
          <a:off x="1438275" y="4295775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25</xdr:row>
      <xdr:rowOff>166688</xdr:rowOff>
    </xdr:from>
    <xdr:to>
      <xdr:col>3</xdr:col>
      <xdr:colOff>9525</xdr:colOff>
      <xdr:row>25</xdr:row>
      <xdr:rowOff>166688</xdr:rowOff>
    </xdr:to>
    <xdr:cxnSp macro="">
      <xdr:nvCxnSpPr>
        <xdr:cNvPr id="5" name="Connettore 1 62"/>
        <xdr:cNvCxnSpPr/>
      </xdr:nvCxnSpPr>
      <xdr:spPr>
        <a:xfrm>
          <a:off x="1438275" y="4976813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22</xdr:row>
      <xdr:rowOff>47625</xdr:rowOff>
    </xdr:from>
    <xdr:to>
      <xdr:col>4</xdr:col>
      <xdr:colOff>590550</xdr:colOff>
      <xdr:row>29</xdr:row>
      <xdr:rowOff>152400</xdr:rowOff>
    </xdr:to>
    <xdr:sp macro="" textlink="">
      <xdr:nvSpPr>
        <xdr:cNvPr id="6" name="Rettangolo 60"/>
        <xdr:cNvSpPr/>
      </xdr:nvSpPr>
      <xdr:spPr>
        <a:xfrm>
          <a:off x="2628900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590550</xdr:colOff>
      <xdr:row>24</xdr:row>
      <xdr:rowOff>47625</xdr:rowOff>
    </xdr:from>
    <xdr:to>
      <xdr:col>4</xdr:col>
      <xdr:colOff>600075</xdr:colOff>
      <xdr:row>24</xdr:row>
      <xdr:rowOff>47625</xdr:rowOff>
    </xdr:to>
    <xdr:cxnSp macro="">
      <xdr:nvCxnSpPr>
        <xdr:cNvPr id="7" name="Connettore 1 65"/>
        <xdr:cNvCxnSpPr/>
      </xdr:nvCxnSpPr>
      <xdr:spPr>
        <a:xfrm>
          <a:off x="2638425" y="4667250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27</xdr:row>
      <xdr:rowOff>95250</xdr:rowOff>
    </xdr:from>
    <xdr:to>
      <xdr:col>4</xdr:col>
      <xdr:colOff>571500</xdr:colOff>
      <xdr:row>27</xdr:row>
      <xdr:rowOff>95250</xdr:rowOff>
    </xdr:to>
    <xdr:cxnSp macro="">
      <xdr:nvCxnSpPr>
        <xdr:cNvPr id="8" name="Connettore 1 66"/>
        <xdr:cNvCxnSpPr/>
      </xdr:nvCxnSpPr>
      <xdr:spPr>
        <a:xfrm>
          <a:off x="2609850" y="5286375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17</xdr:row>
      <xdr:rowOff>38100</xdr:rowOff>
    </xdr:from>
    <xdr:to>
      <xdr:col>6</xdr:col>
      <xdr:colOff>76200</xdr:colOff>
      <xdr:row>17</xdr:row>
      <xdr:rowOff>38100</xdr:rowOff>
    </xdr:to>
    <xdr:cxnSp macro="">
      <xdr:nvCxnSpPr>
        <xdr:cNvPr id="2" name="Connettore 1 13"/>
        <xdr:cNvCxnSpPr/>
      </xdr:nvCxnSpPr>
      <xdr:spPr>
        <a:xfrm>
          <a:off x="1457325" y="60960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25</xdr:row>
      <xdr:rowOff>104775</xdr:rowOff>
    </xdr:from>
    <xdr:to>
      <xdr:col>6</xdr:col>
      <xdr:colOff>85725</xdr:colOff>
      <xdr:row>25</xdr:row>
      <xdr:rowOff>104775</xdr:rowOff>
    </xdr:to>
    <xdr:cxnSp macro="">
      <xdr:nvCxnSpPr>
        <xdr:cNvPr id="3" name="Connettore 1 15"/>
        <xdr:cNvCxnSpPr/>
      </xdr:nvCxnSpPr>
      <xdr:spPr>
        <a:xfrm>
          <a:off x="1466850" y="2200275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34</xdr:row>
      <xdr:rowOff>57150</xdr:rowOff>
    </xdr:from>
    <xdr:to>
      <xdr:col>6</xdr:col>
      <xdr:colOff>66675</xdr:colOff>
      <xdr:row>34</xdr:row>
      <xdr:rowOff>57150</xdr:rowOff>
    </xdr:to>
    <xdr:cxnSp macro="">
      <xdr:nvCxnSpPr>
        <xdr:cNvPr id="4" name="Connettore 1 16"/>
        <xdr:cNvCxnSpPr/>
      </xdr:nvCxnSpPr>
      <xdr:spPr>
        <a:xfrm>
          <a:off x="1447800" y="386715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9526</xdr:colOff>
      <xdr:row>34</xdr:row>
      <xdr:rowOff>104775</xdr:rowOff>
    </xdr:to>
    <xdr:cxnSp macro="">
      <xdr:nvCxnSpPr>
        <xdr:cNvPr id="5" name="Connettore 1 17"/>
        <xdr:cNvCxnSpPr/>
      </xdr:nvCxnSpPr>
      <xdr:spPr>
        <a:xfrm flipH="1">
          <a:off x="1219200" y="57150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17</xdr:row>
      <xdr:rowOff>19050</xdr:rowOff>
    </xdr:from>
    <xdr:to>
      <xdr:col>6</xdr:col>
      <xdr:colOff>276226</xdr:colOff>
      <xdr:row>34</xdr:row>
      <xdr:rowOff>123825</xdr:rowOff>
    </xdr:to>
    <xdr:cxnSp macro="">
      <xdr:nvCxnSpPr>
        <xdr:cNvPr id="6" name="Connettore 1 20"/>
        <xdr:cNvCxnSpPr/>
      </xdr:nvCxnSpPr>
      <xdr:spPr>
        <a:xfrm flipH="1">
          <a:off x="3314700" y="59055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17</xdr:row>
      <xdr:rowOff>47625</xdr:rowOff>
    </xdr:from>
    <xdr:to>
      <xdr:col>11</xdr:col>
      <xdr:colOff>581025</xdr:colOff>
      <xdr:row>25</xdr:row>
      <xdr:rowOff>47625</xdr:rowOff>
    </xdr:to>
    <xdr:sp macro="" textlink="">
      <xdr:nvSpPr>
        <xdr:cNvPr id="7" name="Rettangolo 39"/>
        <xdr:cNvSpPr/>
      </xdr:nvSpPr>
      <xdr:spPr>
        <a:xfrm>
          <a:off x="6210300" y="619125"/>
          <a:ext cx="1685925" cy="1524000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238125</xdr:colOff>
      <xdr:row>14</xdr:row>
      <xdr:rowOff>171450</xdr:rowOff>
    </xdr:from>
    <xdr:to>
      <xdr:col>6</xdr:col>
      <xdr:colOff>66675</xdr:colOff>
      <xdr:row>14</xdr:row>
      <xdr:rowOff>171450</xdr:rowOff>
    </xdr:to>
    <xdr:cxnSp macro="">
      <xdr:nvCxnSpPr>
        <xdr:cNvPr id="8" name="Connettore 2 6"/>
        <xdr:cNvCxnSpPr/>
      </xdr:nvCxnSpPr>
      <xdr:spPr>
        <a:xfrm>
          <a:off x="2066925" y="1714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14</xdr:row>
      <xdr:rowOff>180975</xdr:rowOff>
    </xdr:from>
    <xdr:to>
      <xdr:col>3</xdr:col>
      <xdr:colOff>238125</xdr:colOff>
      <xdr:row>16</xdr:row>
      <xdr:rowOff>161925</xdr:rowOff>
    </xdr:to>
    <xdr:cxnSp macro="">
      <xdr:nvCxnSpPr>
        <xdr:cNvPr id="9" name="Connettore 1 31"/>
        <xdr:cNvCxnSpPr/>
      </xdr:nvCxnSpPr>
      <xdr:spPr>
        <a:xfrm>
          <a:off x="2066925" y="1809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15</xdr:row>
      <xdr:rowOff>9525</xdr:rowOff>
    </xdr:from>
    <xdr:to>
      <xdr:col>6</xdr:col>
      <xdr:colOff>76200</xdr:colOff>
      <xdr:row>16</xdr:row>
      <xdr:rowOff>180975</xdr:rowOff>
    </xdr:to>
    <xdr:cxnSp macro="">
      <xdr:nvCxnSpPr>
        <xdr:cNvPr id="10" name="Connettore 1 32"/>
        <xdr:cNvCxnSpPr/>
      </xdr:nvCxnSpPr>
      <xdr:spPr>
        <a:xfrm>
          <a:off x="3733800" y="2000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16</xdr:row>
      <xdr:rowOff>180975</xdr:rowOff>
    </xdr:from>
    <xdr:to>
      <xdr:col>2</xdr:col>
      <xdr:colOff>523875</xdr:colOff>
      <xdr:row>16</xdr:row>
      <xdr:rowOff>180975</xdr:rowOff>
    </xdr:to>
    <xdr:cxnSp macro="">
      <xdr:nvCxnSpPr>
        <xdr:cNvPr id="11" name="Connettore 1 22"/>
        <xdr:cNvCxnSpPr/>
      </xdr:nvCxnSpPr>
      <xdr:spPr>
        <a:xfrm>
          <a:off x="1419225" y="56197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34</xdr:row>
      <xdr:rowOff>152400</xdr:rowOff>
    </xdr:from>
    <xdr:to>
      <xdr:col>2</xdr:col>
      <xdr:colOff>504825</xdr:colOff>
      <xdr:row>34</xdr:row>
      <xdr:rowOff>152400</xdr:rowOff>
    </xdr:to>
    <xdr:cxnSp macro="">
      <xdr:nvCxnSpPr>
        <xdr:cNvPr id="12" name="Connettore 1 23"/>
        <xdr:cNvCxnSpPr/>
      </xdr:nvCxnSpPr>
      <xdr:spPr>
        <a:xfrm>
          <a:off x="1400175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16</xdr:row>
      <xdr:rowOff>180975</xdr:rowOff>
    </xdr:from>
    <xdr:to>
      <xdr:col>2</xdr:col>
      <xdr:colOff>180975</xdr:colOff>
      <xdr:row>34</xdr:row>
      <xdr:rowOff>152400</xdr:rowOff>
    </xdr:to>
    <xdr:cxnSp macro="">
      <xdr:nvCxnSpPr>
        <xdr:cNvPr id="13" name="Connettore 2 24"/>
        <xdr:cNvCxnSpPr/>
      </xdr:nvCxnSpPr>
      <xdr:spPr>
        <a:xfrm>
          <a:off x="1400175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34</xdr:row>
      <xdr:rowOff>152400</xdr:rowOff>
    </xdr:from>
    <xdr:to>
      <xdr:col>7</xdr:col>
      <xdr:colOff>19050</xdr:colOff>
      <xdr:row>34</xdr:row>
      <xdr:rowOff>152400</xdr:rowOff>
    </xdr:to>
    <xdr:cxnSp macro="">
      <xdr:nvCxnSpPr>
        <xdr:cNvPr id="14" name="Connettore 1 26"/>
        <xdr:cNvCxnSpPr/>
      </xdr:nvCxnSpPr>
      <xdr:spPr>
        <a:xfrm>
          <a:off x="3962400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16</xdr:row>
      <xdr:rowOff>180975</xdr:rowOff>
    </xdr:from>
    <xdr:to>
      <xdr:col>7</xdr:col>
      <xdr:colOff>95250</xdr:colOff>
      <xdr:row>34</xdr:row>
      <xdr:rowOff>152400</xdr:rowOff>
    </xdr:to>
    <xdr:cxnSp macro="">
      <xdr:nvCxnSpPr>
        <xdr:cNvPr id="15" name="Connettore 2 27"/>
        <xdr:cNvCxnSpPr/>
      </xdr:nvCxnSpPr>
      <xdr:spPr>
        <a:xfrm>
          <a:off x="4362450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34</xdr:row>
      <xdr:rowOff>114300</xdr:rowOff>
    </xdr:from>
    <xdr:to>
      <xdr:col>3</xdr:col>
      <xdr:colOff>209550</xdr:colOff>
      <xdr:row>36</xdr:row>
      <xdr:rowOff>95250</xdr:rowOff>
    </xdr:to>
    <xdr:cxnSp macro="">
      <xdr:nvCxnSpPr>
        <xdr:cNvPr id="16" name="Connettore 1 33"/>
        <xdr:cNvCxnSpPr/>
      </xdr:nvCxnSpPr>
      <xdr:spPr>
        <a:xfrm>
          <a:off x="2038350" y="3924300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34</xdr:row>
      <xdr:rowOff>142875</xdr:rowOff>
    </xdr:from>
    <xdr:to>
      <xdr:col>6</xdr:col>
      <xdr:colOff>57150</xdr:colOff>
      <xdr:row>36</xdr:row>
      <xdr:rowOff>123825</xdr:rowOff>
    </xdr:to>
    <xdr:cxnSp macro="">
      <xdr:nvCxnSpPr>
        <xdr:cNvPr id="17" name="Connettore 1 34"/>
        <xdr:cNvCxnSpPr/>
      </xdr:nvCxnSpPr>
      <xdr:spPr>
        <a:xfrm>
          <a:off x="3714750" y="395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37</xdr:row>
      <xdr:rowOff>9525</xdr:rowOff>
    </xdr:from>
    <xdr:to>
      <xdr:col>6</xdr:col>
      <xdr:colOff>38100</xdr:colOff>
      <xdr:row>37</xdr:row>
      <xdr:rowOff>9525</xdr:rowOff>
    </xdr:to>
    <xdr:cxnSp macro="">
      <xdr:nvCxnSpPr>
        <xdr:cNvPr id="18" name="Connettore 2 38"/>
        <xdr:cNvCxnSpPr/>
      </xdr:nvCxnSpPr>
      <xdr:spPr>
        <a:xfrm>
          <a:off x="2038350" y="4391025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133350</xdr:rowOff>
    </xdr:from>
    <xdr:to>
      <xdr:col>11</xdr:col>
      <xdr:colOff>571500</xdr:colOff>
      <xdr:row>14</xdr:row>
      <xdr:rowOff>133350</xdr:rowOff>
    </xdr:to>
    <xdr:cxnSp macro="">
      <xdr:nvCxnSpPr>
        <xdr:cNvPr id="19" name="Connettore 2 41"/>
        <xdr:cNvCxnSpPr/>
      </xdr:nvCxnSpPr>
      <xdr:spPr>
        <a:xfrm>
          <a:off x="6229350" y="1333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142875</xdr:rowOff>
    </xdr:from>
    <xdr:to>
      <xdr:col>9</xdr:col>
      <xdr:colOff>133350</xdr:colOff>
      <xdr:row>16</xdr:row>
      <xdr:rowOff>123825</xdr:rowOff>
    </xdr:to>
    <xdr:cxnSp macro="">
      <xdr:nvCxnSpPr>
        <xdr:cNvPr id="20" name="Connettore 1 42"/>
        <xdr:cNvCxnSpPr/>
      </xdr:nvCxnSpPr>
      <xdr:spPr>
        <a:xfrm>
          <a:off x="6229350" y="14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14</xdr:row>
      <xdr:rowOff>161925</xdr:rowOff>
    </xdr:from>
    <xdr:to>
      <xdr:col>11</xdr:col>
      <xdr:colOff>581025</xdr:colOff>
      <xdr:row>16</xdr:row>
      <xdr:rowOff>142875</xdr:rowOff>
    </xdr:to>
    <xdr:cxnSp macro="">
      <xdr:nvCxnSpPr>
        <xdr:cNvPr id="21" name="Connettore 1 43"/>
        <xdr:cNvCxnSpPr/>
      </xdr:nvCxnSpPr>
      <xdr:spPr>
        <a:xfrm>
          <a:off x="7896225" y="1619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17</xdr:row>
      <xdr:rowOff>57150</xdr:rowOff>
    </xdr:from>
    <xdr:to>
      <xdr:col>12</xdr:col>
      <xdr:colOff>438150</xdr:colOff>
      <xdr:row>17</xdr:row>
      <xdr:rowOff>57150</xdr:rowOff>
    </xdr:to>
    <xdr:cxnSp macro="">
      <xdr:nvCxnSpPr>
        <xdr:cNvPr id="22" name="Connettore 1 44"/>
        <xdr:cNvCxnSpPr/>
      </xdr:nvCxnSpPr>
      <xdr:spPr>
        <a:xfrm>
          <a:off x="8039100" y="6286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25</xdr:row>
      <xdr:rowOff>47625</xdr:rowOff>
    </xdr:from>
    <xdr:to>
      <xdr:col>12</xdr:col>
      <xdr:colOff>457200</xdr:colOff>
      <xdr:row>25</xdr:row>
      <xdr:rowOff>47625</xdr:rowOff>
    </xdr:to>
    <xdr:cxnSp macro="">
      <xdr:nvCxnSpPr>
        <xdr:cNvPr id="23" name="Connettore 1 45"/>
        <xdr:cNvCxnSpPr/>
      </xdr:nvCxnSpPr>
      <xdr:spPr>
        <a:xfrm>
          <a:off x="8058150" y="21431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466726</xdr:colOff>
      <xdr:row>17</xdr:row>
      <xdr:rowOff>76200</xdr:rowOff>
    </xdr:from>
    <xdr:to>
      <xdr:col>12</xdr:col>
      <xdr:colOff>476250</xdr:colOff>
      <xdr:row>25</xdr:row>
      <xdr:rowOff>19050</xdr:rowOff>
    </xdr:to>
    <xdr:cxnSp macro="">
      <xdr:nvCxnSpPr>
        <xdr:cNvPr id="24" name="Connettore 2 51"/>
        <xdr:cNvCxnSpPr/>
      </xdr:nvCxnSpPr>
      <xdr:spPr>
        <a:xfrm>
          <a:off x="8391526" y="647700"/>
          <a:ext cx="9524" cy="14668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11</xdr:row>
      <xdr:rowOff>117470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1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37"/>
  <sheetViews>
    <sheetView tabSelected="1" workbookViewId="0">
      <selection activeCell="B20" sqref="B20"/>
    </sheetView>
  </sheetViews>
  <sheetFormatPr defaultRowHeight="15" x14ac:dyDescent="0.25"/>
  <cols>
    <col min="1" max="1" width="12.42578125" style="2" bestFit="1" customWidth="1"/>
    <col min="2" max="5" width="9.140625" style="2"/>
    <col min="6" max="6" width="25.7109375" style="2" bestFit="1" customWidth="1"/>
    <col min="7" max="16384" width="9.140625" style="2"/>
  </cols>
  <sheetData>
    <row r="15" spans="1:1" ht="18.75" x14ac:dyDescent="0.3">
      <c r="A15" s="1" t="s">
        <v>4</v>
      </c>
    </row>
    <row r="17" spans="1:7" x14ac:dyDescent="0.25">
      <c r="A17" s="2" t="s">
        <v>0</v>
      </c>
    </row>
    <row r="18" spans="1:7" x14ac:dyDescent="0.25">
      <c r="A18" s="3" t="s">
        <v>1</v>
      </c>
      <c r="B18" s="9">
        <v>2500</v>
      </c>
      <c r="F18" s="2" t="s">
        <v>32</v>
      </c>
      <c r="G18" s="9" t="s">
        <v>33</v>
      </c>
    </row>
    <row r="19" spans="1:7" x14ac:dyDescent="0.25">
      <c r="A19" s="3" t="s">
        <v>2</v>
      </c>
      <c r="B19" s="9">
        <v>2400</v>
      </c>
      <c r="F19" s="4" t="s">
        <v>38</v>
      </c>
      <c r="G19" s="9" t="s">
        <v>39</v>
      </c>
    </row>
    <row r="20" spans="1:7" x14ac:dyDescent="0.25">
      <c r="A20" s="5" t="s">
        <v>3</v>
      </c>
      <c r="B20" s="9">
        <v>2</v>
      </c>
    </row>
    <row r="21" spans="1:7" x14ac:dyDescent="0.25">
      <c r="A21" s="5" t="s">
        <v>18</v>
      </c>
      <c r="B21" s="9" t="s">
        <v>19</v>
      </c>
    </row>
    <row r="31" spans="1:7" x14ac:dyDescent="0.25">
      <c r="A31" s="6">
        <v>1</v>
      </c>
      <c r="B31" s="6"/>
      <c r="C31" s="6">
        <v>2</v>
      </c>
      <c r="D31" s="6"/>
      <c r="E31" s="6">
        <v>3</v>
      </c>
    </row>
    <row r="35" spans="1:2" x14ac:dyDescent="0.25">
      <c r="A35" s="7" t="s">
        <v>8</v>
      </c>
      <c r="B35" s="3"/>
    </row>
    <row r="36" spans="1:2" x14ac:dyDescent="0.25">
      <c r="A36" s="3" t="s">
        <v>2</v>
      </c>
      <c r="B36" s="8">
        <f>Sheet3!E2</f>
        <v>1220</v>
      </c>
    </row>
    <row r="37" spans="1:2" x14ac:dyDescent="0.25">
      <c r="A37" s="3" t="s">
        <v>1</v>
      </c>
      <c r="B37" s="8">
        <f>B18-50</f>
        <v>2450</v>
      </c>
    </row>
  </sheetData>
  <sheetProtection password="BB40" sheet="1" objects="1" scenarios="1"/>
  <dataValidations count="2">
    <dataValidation type="decimal" operator="lessThan" allowBlank="1" showInputMessage="1" showErrorMessage="1" error="Maximum Height 3000mm !!!" sqref="B18">
      <formula1>3001</formula1>
    </dataValidation>
    <dataValidation type="decimal" operator="lessThan" allowBlank="1" showInputMessage="1" showErrorMessage="1" error="Maximum Width 3000mm !!!" sqref="B19">
      <formula1>3001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Sheet3!$B$1:$B$3</xm:f>
          </x14:formula1>
          <xm:sqref>B20</xm:sqref>
        </x14:dataValidation>
        <x14:dataValidation type="list" allowBlank="1" showInputMessage="1" showErrorMessage="1">
          <x14:formula1>
            <xm:f>Sheet3!$C$2:$C$3</xm:f>
          </x14:formula1>
          <xm:sqref>B21</xm:sqref>
        </x14:dataValidation>
        <x14:dataValidation type="list" allowBlank="1" showInputMessage="1" showErrorMessage="1">
          <x14:formula1>
            <xm:f>Sheet3!$L$2:$L$3</xm:f>
          </x14:formula1>
          <xm:sqref>G18</xm:sqref>
        </x14:dataValidation>
        <x14:dataValidation type="list" allowBlank="1" showInputMessage="1" showErrorMessage="1">
          <x14:formula1>
            <xm:f>Sheet3!$N$2:$N$3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X37"/>
  <sheetViews>
    <sheetView workbookViewId="0">
      <selection activeCell="P37" sqref="P37"/>
    </sheetView>
  </sheetViews>
  <sheetFormatPr defaultRowHeight="15" x14ac:dyDescent="0.25"/>
  <cols>
    <col min="1" max="16" width="9.140625" style="6"/>
    <col min="17" max="17" width="32.28515625" style="6" bestFit="1" customWidth="1"/>
    <col min="18" max="19" width="9.140625" style="6"/>
    <col min="20" max="20" width="11.85546875" style="6" bestFit="1" customWidth="1"/>
    <col min="21" max="21" width="9.5703125" style="6" bestFit="1" customWidth="1"/>
    <col min="22" max="22" width="13.28515625" style="6" bestFit="1" customWidth="1"/>
    <col min="23" max="16384" width="9.140625" style="6"/>
  </cols>
  <sheetData>
    <row r="16" spans="5:16" x14ac:dyDescent="0.25">
      <c r="E16" s="6" t="s">
        <v>5</v>
      </c>
      <c r="K16" s="10">
        <f>'Enter Details'!B36-68</f>
        <v>1152</v>
      </c>
      <c r="P16" s="11" t="s">
        <v>29</v>
      </c>
    </row>
    <row r="17" spans="2:24" x14ac:dyDescent="0.25">
      <c r="E17" s="10">
        <f>'Enter Details'!B36-80</f>
        <v>1140</v>
      </c>
      <c r="K17" s="6" t="s">
        <v>9</v>
      </c>
      <c r="P17" s="12" t="s">
        <v>11</v>
      </c>
      <c r="Q17" s="12" t="s">
        <v>12</v>
      </c>
      <c r="R17" s="12" t="s">
        <v>13</v>
      </c>
      <c r="S17" s="12" t="s">
        <v>14</v>
      </c>
      <c r="T17" s="12" t="s">
        <v>15</v>
      </c>
      <c r="U17" s="12" t="s">
        <v>16</v>
      </c>
      <c r="V17" s="12" t="s">
        <v>17</v>
      </c>
      <c r="W17" s="12" t="s">
        <v>31</v>
      </c>
      <c r="X17" s="12" t="s">
        <v>59</v>
      </c>
    </row>
    <row r="18" spans="2:24" x14ac:dyDescent="0.25">
      <c r="P18" s="8">
        <v>1</v>
      </c>
      <c r="Q18" s="13" t="s">
        <v>30</v>
      </c>
      <c r="R18" s="8">
        <f>E17</f>
        <v>1140</v>
      </c>
      <c r="S18" s="8">
        <v>2</v>
      </c>
      <c r="T18" s="8">
        <f t="shared" ref="T18" si="0">S18*R18</f>
        <v>2280</v>
      </c>
      <c r="U18" s="8">
        <f>ROUNDUP(T18/3000,0)</f>
        <v>1</v>
      </c>
      <c r="V18" s="8" t="str">
        <f>VLOOKUP(Q18,Sheet3!$C$9:$E$26,3,0)</f>
        <v>014.020.03249</v>
      </c>
      <c r="W18" s="8">
        <f>VLOOKUP(Q18,Sheet3!$C$10:$D$26,2,0)</f>
        <v>2299.1999999999998</v>
      </c>
      <c r="X18" s="8">
        <f>IFERROR(W18*U18,"-")</f>
        <v>2299.1999999999998</v>
      </c>
    </row>
    <row r="19" spans="2:24" x14ac:dyDescent="0.25">
      <c r="P19" s="8">
        <v>2</v>
      </c>
      <c r="Q19" s="8" t="s">
        <v>43</v>
      </c>
      <c r="R19" s="8">
        <f>R18</f>
        <v>1140</v>
      </c>
      <c r="S19" s="8">
        <v>2</v>
      </c>
      <c r="T19" s="8">
        <f t="shared" ref="T19:T26" si="1">S19*R19</f>
        <v>2280</v>
      </c>
      <c r="U19" s="8">
        <f>ROUNDUP(T19/3000,0)</f>
        <v>1</v>
      </c>
      <c r="V19" s="8" t="str">
        <f>VLOOKUP(Q19,Sheet3!$C$9:$E$26,3,0)</f>
        <v>014.020.03250</v>
      </c>
      <c r="W19" s="8">
        <f>VLOOKUP(Q19,Sheet3!$C$10:$D$26,2,0)</f>
        <v>4588.8</v>
      </c>
      <c r="X19" s="8">
        <f t="shared" ref="X19:X32" si="2">IFERROR(W19*U19,"-")</f>
        <v>4588.8</v>
      </c>
    </row>
    <row r="20" spans="2:24" x14ac:dyDescent="0.25">
      <c r="P20" s="8">
        <v>3</v>
      </c>
      <c r="Q20" s="13" t="s">
        <v>60</v>
      </c>
      <c r="R20" s="8">
        <f>H26</f>
        <v>2450</v>
      </c>
      <c r="S20" s="8">
        <v>4</v>
      </c>
      <c r="T20" s="8">
        <f t="shared" si="1"/>
        <v>9800</v>
      </c>
      <c r="U20" s="8">
        <f>ROUNDUP(T20/2700,0)</f>
        <v>4</v>
      </c>
      <c r="V20" s="8" t="str">
        <f>VLOOKUP(Q20,Sheet3!$C$9:$E$26,3,0)</f>
        <v>014.004.03248</v>
      </c>
      <c r="W20" s="8">
        <f>VLOOKUP(Q20,Sheet3!$C$10:$D$26,2,0)</f>
        <v>4771.2</v>
      </c>
      <c r="X20" s="8">
        <f t="shared" si="2"/>
        <v>19084.8</v>
      </c>
    </row>
    <row r="21" spans="2:24" x14ac:dyDescent="0.25">
      <c r="N21" s="10">
        <f>IF(K27=1,Sheet3!B7,IF('Door Details'!K27=2,Sheet3!C7,IF('Door Details'!K27=3,Sheet3!D7)))</f>
        <v>1184</v>
      </c>
      <c r="P21" s="8">
        <v>4</v>
      </c>
      <c r="Q21" s="13" t="s">
        <v>21</v>
      </c>
      <c r="R21" s="8">
        <f>H26</f>
        <v>2450</v>
      </c>
      <c r="S21" s="8">
        <v>4</v>
      </c>
      <c r="T21" s="8">
        <f t="shared" si="1"/>
        <v>9800</v>
      </c>
      <c r="U21" s="8">
        <f>ROUNDUP(T21/1000,0)</f>
        <v>10</v>
      </c>
      <c r="V21" s="8" t="str">
        <f>VLOOKUP(Q21,Sheet3!$C$9:$E$26,3,0)</f>
        <v>014.003.03257</v>
      </c>
      <c r="W21" s="8">
        <f>VLOOKUP(Q21,Sheet3!$C$10:$D$26,2,0)</f>
        <v>73.599999999999994</v>
      </c>
      <c r="X21" s="8">
        <f t="shared" si="2"/>
        <v>736</v>
      </c>
    </row>
    <row r="22" spans="2:24" x14ac:dyDescent="0.25">
      <c r="P22" s="8">
        <v>5</v>
      </c>
      <c r="Q22" s="13" t="s">
        <v>22</v>
      </c>
      <c r="R22" s="8">
        <f>H26</f>
        <v>2450</v>
      </c>
      <c r="S22" s="8">
        <v>2</v>
      </c>
      <c r="T22" s="8">
        <f t="shared" si="1"/>
        <v>4900</v>
      </c>
      <c r="U22" s="8">
        <f>ROUNDUP(T22/1000,0)</f>
        <v>5</v>
      </c>
      <c r="V22" s="8" t="str">
        <f>VLOOKUP(Q22,Sheet3!$C$9:$E$26,3,0)</f>
        <v>014.003.03256</v>
      </c>
      <c r="W22" s="8">
        <f>VLOOKUP(Q22,Sheet3!$C$10:$D$26,2,0)</f>
        <v>176</v>
      </c>
      <c r="X22" s="8">
        <f t="shared" si="2"/>
        <v>880</v>
      </c>
    </row>
    <row r="23" spans="2:24" x14ac:dyDescent="0.25">
      <c r="P23" s="8">
        <v>6</v>
      </c>
      <c r="Q23" s="13" t="str">
        <f>IF('Enter Details'!B21="4mm",Sheet3!H2,Sheet3!H3)</f>
        <v>MU GB 008 - 4 mm glass,In out</v>
      </c>
      <c r="R23" s="8">
        <f>H26</f>
        <v>2450</v>
      </c>
      <c r="S23" s="8">
        <v>4</v>
      </c>
      <c r="T23" s="8">
        <f t="shared" si="1"/>
        <v>9800</v>
      </c>
      <c r="U23" s="8">
        <f>ROUNDUP(T23/1000,0)</f>
        <v>10</v>
      </c>
      <c r="V23" s="8" t="str">
        <f>VLOOKUP(Q23,Sheet3!$C$9:$E$26,3,0)</f>
        <v>014.003.03255</v>
      </c>
      <c r="W23" s="8">
        <f>VLOOKUP(Q23,Sheet3!$C$10:$D$26,2,0)</f>
        <v>176</v>
      </c>
      <c r="X23" s="8">
        <f t="shared" si="2"/>
        <v>1760</v>
      </c>
    </row>
    <row r="24" spans="2:24" x14ac:dyDescent="0.25">
      <c r="E24" s="6" t="s">
        <v>7</v>
      </c>
      <c r="P24" s="8">
        <v>7</v>
      </c>
      <c r="Q24" s="13" t="str">
        <f>IF('Enter Details'!B21="4mm",Sheet3!H2,Sheet3!H3)</f>
        <v>MU GB 008 - 4 mm glass,In out</v>
      </c>
      <c r="R24" s="8">
        <f>E25</f>
        <v>1140</v>
      </c>
      <c r="S24" s="8">
        <f>IF(K27=1,4,IF(K27=2,6,IF(K27=3,8)))</f>
        <v>6</v>
      </c>
      <c r="T24" s="8">
        <f t="shared" si="1"/>
        <v>6840</v>
      </c>
      <c r="U24" s="8">
        <f>ROUNDUP(T24/1000,0)</f>
        <v>7</v>
      </c>
      <c r="V24" s="8" t="str">
        <f>VLOOKUP(Q24,Sheet3!$C$9:$E$26,3,0)</f>
        <v>014.003.03255</v>
      </c>
      <c r="W24" s="8">
        <f>VLOOKUP(Q24,Sheet3!$C$10:$D$26,2,0)</f>
        <v>176</v>
      </c>
      <c r="X24" s="8">
        <f t="shared" si="2"/>
        <v>1232</v>
      </c>
    </row>
    <row r="25" spans="2:24" x14ac:dyDescent="0.25">
      <c r="B25" s="6" t="s">
        <v>61</v>
      </c>
      <c r="E25" s="10">
        <f>E17</f>
        <v>1140</v>
      </c>
      <c r="H25" s="6" t="s">
        <v>6</v>
      </c>
      <c r="P25" s="8">
        <v>8</v>
      </c>
      <c r="Q25" s="13" t="s">
        <v>44</v>
      </c>
      <c r="R25" s="8">
        <f>'Enter Details'!B19</f>
        <v>2400</v>
      </c>
      <c r="S25" s="8">
        <v>1</v>
      </c>
      <c r="T25" s="8">
        <f t="shared" si="1"/>
        <v>2400</v>
      </c>
      <c r="U25" s="8">
        <f>ROUNDUP(T25/3000,0)</f>
        <v>1</v>
      </c>
      <c r="V25" s="8" t="str">
        <f>VLOOKUP(Q25,Sheet3!$C$9:$E$26,3,0)</f>
        <v>014.020.03246</v>
      </c>
      <c r="W25" s="8">
        <f>VLOOKUP(Q25,Sheet3!$C$10:$D$26,2,0)</f>
        <v>8228.7999999999993</v>
      </c>
      <c r="X25" s="8">
        <f t="shared" si="2"/>
        <v>8228.7999999999993</v>
      </c>
    </row>
    <row r="26" spans="2:24" x14ac:dyDescent="0.25">
      <c r="B26" s="10">
        <f>'Enter Details'!B37</f>
        <v>2450</v>
      </c>
      <c r="H26" s="10">
        <f>B26</f>
        <v>2450</v>
      </c>
      <c r="P26" s="8">
        <v>9</v>
      </c>
      <c r="Q26" s="6" t="s">
        <v>45</v>
      </c>
      <c r="R26" s="8">
        <f>'Enter Details'!B19</f>
        <v>2400</v>
      </c>
      <c r="S26" s="8">
        <v>1</v>
      </c>
      <c r="T26" s="8">
        <f t="shared" si="1"/>
        <v>2400</v>
      </c>
      <c r="U26" s="8">
        <f>ROUNDUP(T26/3000,0)</f>
        <v>1</v>
      </c>
      <c r="V26" s="8" t="str">
        <f>VLOOKUP(Q26,Sheet3!$C$9:$E$26,3,0)</f>
        <v>014.053.03247</v>
      </c>
      <c r="W26" s="8">
        <f>VLOOKUP(Q26,Sheet3!$C$10:$D$26,2,0)</f>
        <v>4169.6000000000004</v>
      </c>
      <c r="X26" s="8">
        <f t="shared" si="2"/>
        <v>4169.6000000000004</v>
      </c>
    </row>
    <row r="27" spans="2:24" x14ac:dyDescent="0.25">
      <c r="J27" s="6" t="s">
        <v>10</v>
      </c>
      <c r="K27" s="10">
        <f>'Enter Details'!B20</f>
        <v>2</v>
      </c>
      <c r="P27" s="8">
        <v>10</v>
      </c>
      <c r="Q27" s="13" t="s">
        <v>35</v>
      </c>
      <c r="R27" s="8" t="s">
        <v>36</v>
      </c>
      <c r="S27" s="8">
        <f>IF('Enter Details'!B20=1,8,IF('Enter Details'!B20=2,12,IF('Enter Details'!B20=3,16)))</f>
        <v>12</v>
      </c>
      <c r="T27" s="8" t="s">
        <v>36</v>
      </c>
      <c r="U27" s="8">
        <f>S27</f>
        <v>12</v>
      </c>
      <c r="V27" s="8" t="str">
        <f>VLOOKUP(Q27,Sheet3!$C$9:$E$26,3,0)</f>
        <v>034.001.03259</v>
      </c>
      <c r="W27" s="8">
        <f>VLOOKUP(Q27,Sheet3!$C$10:$D$26,2,0)</f>
        <v>54.4</v>
      </c>
      <c r="X27" s="8">
        <f t="shared" si="2"/>
        <v>652.79999999999995</v>
      </c>
    </row>
    <row r="28" spans="2:24" x14ac:dyDescent="0.25">
      <c r="P28" s="8">
        <v>11</v>
      </c>
      <c r="Q28" s="13" t="str">
        <f>IF('Enter Details'!G19="50kg","In Out Soft Close System 50kg",IF('Enter Details'!G19="100kg","In Out Soft Close System 100kg"))</f>
        <v>In Out Soft Close System 50kg</v>
      </c>
      <c r="R28" s="8" t="s">
        <v>36</v>
      </c>
      <c r="S28" s="8">
        <f>IF('Enter Details'!G18="One Side",1,IF('Enter Details'!G18="Two Side",2))</f>
        <v>1</v>
      </c>
      <c r="T28" s="8"/>
      <c r="U28" s="8">
        <f>S28</f>
        <v>1</v>
      </c>
      <c r="V28" s="8" t="str">
        <f>VLOOKUP(Q28,Sheet3!$C$9:$E$26,3,0)</f>
        <v>034.044.03261</v>
      </c>
      <c r="W28" s="8">
        <f>VLOOKUP(Q28,Sheet3!$C$10:$D$26,2,0)</f>
        <v>3024</v>
      </c>
      <c r="X28" s="8">
        <f t="shared" si="2"/>
        <v>3024</v>
      </c>
    </row>
    <row r="29" spans="2:24" x14ac:dyDescent="0.25">
      <c r="P29" s="8">
        <v>12</v>
      </c>
      <c r="Q29" s="13" t="s">
        <v>41</v>
      </c>
      <c r="R29" s="8" t="s">
        <v>36</v>
      </c>
      <c r="S29" s="8">
        <v>2</v>
      </c>
      <c r="T29" s="8"/>
      <c r="U29" s="8">
        <f t="shared" ref="U29:U30" si="3">S29</f>
        <v>2</v>
      </c>
      <c r="V29" s="8" t="str">
        <f>VLOOKUP(Q29,Sheet3!$C$9:$E$26,3,0)</f>
        <v>014.020.03252</v>
      </c>
      <c r="W29" s="8">
        <f>VLOOKUP(Q29,Sheet3!$C$10:$D$26,2,0)</f>
        <v>572.79999999999995</v>
      </c>
      <c r="X29" s="8">
        <f t="shared" si="2"/>
        <v>1145.5999999999999</v>
      </c>
    </row>
    <row r="30" spans="2:24" x14ac:dyDescent="0.25">
      <c r="P30" s="8">
        <v>13</v>
      </c>
      <c r="Q30" s="13" t="s">
        <v>42</v>
      </c>
      <c r="R30" s="8" t="s">
        <v>36</v>
      </c>
      <c r="S30" s="8">
        <v>2</v>
      </c>
      <c r="T30" s="8"/>
      <c r="U30" s="8">
        <f t="shared" si="3"/>
        <v>2</v>
      </c>
      <c r="V30" s="8" t="str">
        <f>VLOOKUP(Q30,Sheet3!$C$9:$E$26,3,0)</f>
        <v>034.091.03253</v>
      </c>
      <c r="W30" s="8">
        <f>VLOOKUP(Q30,Sheet3!$C$10:$D$26,2,0)</f>
        <v>848</v>
      </c>
      <c r="X30" s="8">
        <f t="shared" si="2"/>
        <v>1696</v>
      </c>
    </row>
    <row r="31" spans="2:24" x14ac:dyDescent="0.25">
      <c r="P31" s="8">
        <v>14</v>
      </c>
      <c r="Q31" s="13" t="str">
        <f>IF('Enter Details'!B20=1,"-","Horizontal Divider Profile,3m")</f>
        <v>Horizontal Divider Profile,3m</v>
      </c>
      <c r="R31" s="8">
        <f>IF('Enter Details'!B20=1,"-",E25)</f>
        <v>1140</v>
      </c>
      <c r="S31" s="8">
        <f>IF('Enter Details'!B20=1,"-",IF('Enter Details'!B20=2,1,IF('Enter Details'!B20=3,2)))</f>
        <v>1</v>
      </c>
      <c r="T31" s="8">
        <f>IFERROR(S31*R31,"-")</f>
        <v>1140</v>
      </c>
      <c r="U31" s="8">
        <f>IFERROR(ROUNDUP(T31/3000,0),"-")</f>
        <v>1</v>
      </c>
      <c r="V31" s="8" t="str">
        <f>VLOOKUP(Q31,Sheet3!$C$9:$E$26,3,0)</f>
        <v>014.020.03245</v>
      </c>
      <c r="W31" s="8">
        <f>VLOOKUP(Q31,Sheet3!$C$10:$D$26,2,0)</f>
        <v>3318</v>
      </c>
      <c r="X31" s="8">
        <f t="shared" si="2"/>
        <v>3318</v>
      </c>
    </row>
    <row r="32" spans="2:24" x14ac:dyDescent="0.25">
      <c r="P32" s="8">
        <v>15</v>
      </c>
      <c r="Q32" s="13" t="str">
        <f>IF('Enter Details'!G18="One Side","In Out Door Stopper","-")</f>
        <v>In Out Door Stopper</v>
      </c>
      <c r="R32" s="8" t="s">
        <v>36</v>
      </c>
      <c r="S32" s="8">
        <f>IF('Enter Details'!G18="One Side",1,"-")</f>
        <v>1</v>
      </c>
      <c r="T32" s="8" t="s">
        <v>36</v>
      </c>
      <c r="U32" s="8">
        <f>S32</f>
        <v>1</v>
      </c>
      <c r="V32" s="8" t="str">
        <f>VLOOKUP(Q32,Sheet3!$C$9:$E$26,3,0)</f>
        <v>014.003.03258</v>
      </c>
      <c r="W32" s="8">
        <f>VLOOKUP(Q32,Sheet3!$C$10:$D$26,2,0)</f>
        <v>704</v>
      </c>
      <c r="X32" s="8">
        <f t="shared" si="2"/>
        <v>704</v>
      </c>
    </row>
    <row r="33" spans="5:24" x14ac:dyDescent="0.25">
      <c r="P33" s="8"/>
      <c r="Q33" s="8"/>
      <c r="R33" s="8"/>
      <c r="S33" s="8"/>
      <c r="T33" s="8"/>
      <c r="U33" s="8"/>
      <c r="V33" s="8"/>
      <c r="W33" s="14" t="s">
        <v>58</v>
      </c>
      <c r="X33" s="14">
        <f>SUM(X18:X32)</f>
        <v>53519.6</v>
      </c>
    </row>
    <row r="36" spans="5:24" x14ac:dyDescent="0.25">
      <c r="E36" s="10">
        <f>E17</f>
        <v>1140</v>
      </c>
    </row>
    <row r="37" spans="5:24" x14ac:dyDescent="0.25">
      <c r="E37" s="6" t="s">
        <v>50</v>
      </c>
    </row>
  </sheetData>
  <sheetProtection password="BB4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D13" sqref="D13"/>
    </sheetView>
  </sheetViews>
  <sheetFormatPr defaultRowHeight="15" x14ac:dyDescent="0.25"/>
  <cols>
    <col min="1" max="1" width="9.140625" style="6"/>
    <col min="2" max="2" width="6" style="6" customWidth="1"/>
    <col min="3" max="3" width="32.28515625" style="6" bestFit="1" customWidth="1"/>
    <col min="4" max="4" width="9.140625" style="6"/>
    <col min="5" max="5" width="13.28515625" style="6" bestFit="1" customWidth="1"/>
    <col min="6" max="7" width="9.140625" style="6"/>
    <col min="8" max="8" width="27.7109375" style="6" bestFit="1" customWidth="1"/>
    <col min="9" max="9" width="13.28515625" style="6" bestFit="1" customWidth="1"/>
    <col min="10" max="16384" width="9.140625" style="6"/>
  </cols>
  <sheetData>
    <row r="1" spans="1:14" x14ac:dyDescent="0.25">
      <c r="B1" s="6">
        <v>1</v>
      </c>
    </row>
    <row r="2" spans="1:14" x14ac:dyDescent="0.25">
      <c r="A2" s="6">
        <v>2</v>
      </c>
      <c r="B2" s="6">
        <v>2</v>
      </c>
      <c r="C2" s="6" t="s">
        <v>19</v>
      </c>
      <c r="E2" s="6">
        <f>('Enter Details'!B19+40)/2</f>
        <v>1220</v>
      </c>
      <c r="H2" s="8" t="s">
        <v>25</v>
      </c>
      <c r="I2" s="8" t="s">
        <v>27</v>
      </c>
      <c r="J2" s="6">
        <f>'Door Details'!H26</f>
        <v>2450</v>
      </c>
      <c r="L2" s="6" t="s">
        <v>33</v>
      </c>
      <c r="N2" s="6" t="s">
        <v>39</v>
      </c>
    </row>
    <row r="3" spans="1:14" x14ac:dyDescent="0.25">
      <c r="A3" s="6">
        <v>3</v>
      </c>
      <c r="B3" s="6">
        <v>3</v>
      </c>
      <c r="C3" s="6" t="s">
        <v>20</v>
      </c>
      <c r="H3" s="8" t="s">
        <v>26</v>
      </c>
      <c r="I3" s="8" t="s">
        <v>28</v>
      </c>
      <c r="L3" s="6" t="s">
        <v>34</v>
      </c>
      <c r="N3" s="6" t="s">
        <v>40</v>
      </c>
    </row>
    <row r="7" spans="1:14" x14ac:dyDescent="0.25">
      <c r="B7" s="6">
        <f>'Enter Details'!B37-68</f>
        <v>2382</v>
      </c>
      <c r="C7" s="6">
        <f>('Enter Details'!B37-68-14)/2</f>
        <v>1184</v>
      </c>
      <c r="D7" s="6">
        <f>ROUNDUP(('Enter Details'!B37-68-28)/3,0)</f>
        <v>785</v>
      </c>
      <c r="H7" s="6">
        <f>('Enter Details'!B36*2)</f>
        <v>2440</v>
      </c>
    </row>
    <row r="9" spans="1:14" x14ac:dyDescent="0.25">
      <c r="B9" s="12" t="s">
        <v>11</v>
      </c>
      <c r="C9" s="12" t="s">
        <v>12</v>
      </c>
      <c r="D9" s="12" t="s">
        <v>31</v>
      </c>
      <c r="E9" s="12" t="s">
        <v>17</v>
      </c>
    </row>
    <row r="10" spans="1:14" x14ac:dyDescent="0.25">
      <c r="B10" s="8">
        <v>1</v>
      </c>
      <c r="C10" s="8" t="s">
        <v>30</v>
      </c>
      <c r="D10" s="8">
        <v>2299.1999999999998</v>
      </c>
      <c r="E10" s="8" t="s">
        <v>5</v>
      </c>
    </row>
    <row r="11" spans="1:14" x14ac:dyDescent="0.25">
      <c r="B11" s="8">
        <v>2</v>
      </c>
      <c r="C11" s="8" t="s">
        <v>43</v>
      </c>
      <c r="D11" s="8">
        <v>4588.8</v>
      </c>
      <c r="E11" s="8" t="s">
        <v>50</v>
      </c>
    </row>
    <row r="12" spans="1:14" x14ac:dyDescent="0.25">
      <c r="B12" s="8">
        <v>3</v>
      </c>
      <c r="C12" s="8" t="s">
        <v>60</v>
      </c>
      <c r="D12" s="8">
        <v>4771.2</v>
      </c>
      <c r="E12" s="8" t="s">
        <v>61</v>
      </c>
    </row>
    <row r="13" spans="1:14" x14ac:dyDescent="0.25">
      <c r="B13" s="8">
        <v>4</v>
      </c>
      <c r="C13" s="8" t="s">
        <v>21</v>
      </c>
      <c r="D13" s="8">
        <v>73.599999999999994</v>
      </c>
      <c r="E13" s="8" t="s">
        <v>23</v>
      </c>
    </row>
    <row r="14" spans="1:14" x14ac:dyDescent="0.25">
      <c r="B14" s="8">
        <v>5</v>
      </c>
      <c r="C14" s="8" t="s">
        <v>22</v>
      </c>
      <c r="D14" s="8">
        <v>176</v>
      </c>
      <c r="E14" s="8" t="s">
        <v>24</v>
      </c>
    </row>
    <row r="15" spans="1:14" x14ac:dyDescent="0.25">
      <c r="B15" s="8">
        <v>6</v>
      </c>
      <c r="C15" s="8" t="s">
        <v>25</v>
      </c>
      <c r="D15" s="8">
        <v>176</v>
      </c>
      <c r="E15" s="8" t="s">
        <v>27</v>
      </c>
    </row>
    <row r="16" spans="1:14" x14ac:dyDescent="0.25">
      <c r="B16" s="8">
        <v>7</v>
      </c>
      <c r="C16" s="8" t="s">
        <v>26</v>
      </c>
      <c r="D16" s="8">
        <v>83.2</v>
      </c>
      <c r="E16" s="8" t="s">
        <v>28</v>
      </c>
    </row>
    <row r="17" spans="2:5" x14ac:dyDescent="0.25">
      <c r="B17" s="8">
        <v>8</v>
      </c>
      <c r="C17" s="8" t="s">
        <v>44</v>
      </c>
      <c r="D17" s="8">
        <v>8228.7999999999993</v>
      </c>
      <c r="E17" s="8" t="s">
        <v>51</v>
      </c>
    </row>
    <row r="18" spans="2:5" x14ac:dyDescent="0.25">
      <c r="B18" s="8">
        <v>9</v>
      </c>
      <c r="C18" s="8" t="s">
        <v>45</v>
      </c>
      <c r="D18" s="8">
        <v>4169.6000000000004</v>
      </c>
      <c r="E18" s="8" t="s">
        <v>52</v>
      </c>
    </row>
    <row r="19" spans="2:5" x14ac:dyDescent="0.25">
      <c r="B19" s="8">
        <v>10</v>
      </c>
      <c r="C19" s="8" t="s">
        <v>35</v>
      </c>
      <c r="D19" s="8">
        <v>54.4</v>
      </c>
      <c r="E19" s="8" t="s">
        <v>37</v>
      </c>
    </row>
    <row r="20" spans="2:5" x14ac:dyDescent="0.25">
      <c r="B20" s="8">
        <v>11</v>
      </c>
      <c r="C20" s="8" t="s">
        <v>46</v>
      </c>
      <c r="D20" s="8">
        <v>3721.6</v>
      </c>
      <c r="E20" s="8" t="s">
        <v>53</v>
      </c>
    </row>
    <row r="21" spans="2:5" x14ac:dyDescent="0.25">
      <c r="B21" s="8">
        <v>12</v>
      </c>
      <c r="C21" s="8" t="s">
        <v>47</v>
      </c>
      <c r="D21" s="8">
        <v>3024</v>
      </c>
      <c r="E21" s="8" t="s">
        <v>54</v>
      </c>
    </row>
    <row r="22" spans="2:5" x14ac:dyDescent="0.25">
      <c r="B22" s="8">
        <v>13</v>
      </c>
      <c r="C22" s="8" t="s">
        <v>41</v>
      </c>
      <c r="D22" s="8">
        <v>572.79999999999995</v>
      </c>
      <c r="E22" s="8" t="s">
        <v>55</v>
      </c>
    </row>
    <row r="23" spans="2:5" x14ac:dyDescent="0.25">
      <c r="B23" s="8">
        <v>14</v>
      </c>
      <c r="C23" s="8" t="s">
        <v>42</v>
      </c>
      <c r="D23" s="8">
        <v>848</v>
      </c>
      <c r="E23" s="8" t="s">
        <v>56</v>
      </c>
    </row>
    <row r="24" spans="2:5" x14ac:dyDescent="0.25">
      <c r="B24" s="8">
        <v>15</v>
      </c>
      <c r="C24" s="8" t="s">
        <v>48</v>
      </c>
      <c r="D24" s="8">
        <v>3318</v>
      </c>
      <c r="E24" s="8" t="s">
        <v>7</v>
      </c>
    </row>
    <row r="25" spans="2:5" x14ac:dyDescent="0.25">
      <c r="B25" s="8">
        <v>16</v>
      </c>
      <c r="C25" s="8" t="s">
        <v>49</v>
      </c>
      <c r="D25" s="8">
        <v>704</v>
      </c>
      <c r="E25" s="8" t="s">
        <v>57</v>
      </c>
    </row>
    <row r="26" spans="2:5" x14ac:dyDescent="0.25">
      <c r="B26" s="8">
        <v>17</v>
      </c>
      <c r="C26" s="8" t="s">
        <v>36</v>
      </c>
      <c r="D26" s="8" t="s">
        <v>36</v>
      </c>
      <c r="E26" s="8" t="s">
        <v>36</v>
      </c>
    </row>
  </sheetData>
  <sheetProtection password="BB4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Details</vt:lpstr>
      <vt:lpstr>Door Details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Chidgupkar</dc:creator>
  <cp:lastModifiedBy>Anish Chidgupkar</cp:lastModifiedBy>
  <dcterms:created xsi:type="dcterms:W3CDTF">2019-08-13T07:27:57Z</dcterms:created>
  <dcterms:modified xsi:type="dcterms:W3CDTF">2019-08-30T07:20:16Z</dcterms:modified>
</cp:coreProperties>
</file>